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verything\WQ Manual\2017 WQ Manual\"/>
    </mc:Choice>
  </mc:AlternateContent>
  <bookViews>
    <workbookView xWindow="45" yWindow="45" windowWidth="13740" windowHeight="84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Sheet1!$A$1:$O$126</definedName>
  </definedNames>
  <calcPr calcId="152511"/>
</workbook>
</file>

<file path=xl/calcChain.xml><?xml version="1.0" encoding="utf-8"?>
<calcChain xmlns="http://schemas.openxmlformats.org/spreadsheetml/2006/main">
  <c r="E21" i="1" l="1"/>
  <c r="E22" i="1" s="1"/>
  <c r="B22" i="1"/>
  <c r="E24" i="1"/>
  <c r="E25" i="1" s="1"/>
  <c r="K21" i="1"/>
  <c r="K23" i="1" s="1"/>
  <c r="K22" i="1"/>
  <c r="N109" i="1"/>
  <c r="E57" i="1"/>
  <c r="E50" i="1" l="1"/>
  <c r="E51" i="1"/>
  <c r="F7" i="2" s="1"/>
  <c r="N110" i="1" l="1"/>
  <c r="N111" i="1"/>
  <c r="J52" i="1"/>
  <c r="N112" i="1"/>
  <c r="E52" i="1"/>
  <c r="N113" i="1"/>
  <c r="B80" i="1"/>
  <c r="B81" i="1" s="1"/>
  <c r="B82" i="1" s="1"/>
  <c r="N106" i="1"/>
  <c r="B73" i="1"/>
  <c r="B74" i="1" s="1"/>
  <c r="B83" i="1" s="1"/>
  <c r="D89" i="1"/>
  <c r="E54" i="1"/>
  <c r="G60" i="1"/>
  <c r="D91" i="1" s="1"/>
  <c r="D94" i="1" l="1"/>
  <c r="E55" i="1"/>
  <c r="N107" i="1"/>
  <c r="N114" i="1" s="1"/>
  <c r="N108" i="1"/>
  <c r="N115" i="1" l="1"/>
  <c r="N116" i="1"/>
</calcChain>
</file>

<file path=xl/comments1.xml><?xml version="1.0" encoding="utf-8"?>
<comments xmlns="http://schemas.openxmlformats.org/spreadsheetml/2006/main">
  <authors>
    <author>Mecklenburg County</author>
  </authors>
  <commentList>
    <comment ref="E16" authorId="0" shapeId="0">
      <text>
        <r>
          <rPr>
            <b/>
            <sz val="8"/>
            <color indexed="81"/>
            <rFont val="Tahoma"/>
            <family val="2"/>
          </rPr>
          <t xml:space="preserve">For a 1" rainfall, TR-55 shows no runoff from areas with CN &lt; 74. 
So just use 100% of impervious areas.
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Normally this should be the impervious area only.  
Recommend a  maximum of 1 acre of impervious to minimize high flow velocities.</t>
        </r>
      </text>
    </comment>
    <comment ref="B22" authorId="0" shapeId="0">
      <text>
        <r>
          <rPr>
            <b/>
            <sz val="8"/>
            <color indexed="81"/>
            <rFont val="Tahoma"/>
            <family val="2"/>
          </rPr>
          <t>This is based on SCS CN Method. HSG "C" soils for grass and woods. Runoff for grass is 0.20" and 0.02" for woods. Impervious surface is 0.83"</t>
        </r>
        <r>
          <rPr>
            <sz val="8"/>
            <color indexed="81"/>
            <rFont val="Tahoma"/>
          </rPr>
          <t xml:space="preserve">
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This is the volume generated by the 1" Rainfall. Part of this volume is infiltrated during the storm and is addressed in the calculations below.</t>
        </r>
        <r>
          <rPr>
            <sz val="8"/>
            <color indexed="81"/>
            <rFont val="Tahoma"/>
          </rPr>
          <t xml:space="preserve">
</t>
        </r>
      </text>
    </comment>
    <comment ref="E24" authorId="0" shapeId="0">
      <text>
        <r>
          <rPr>
            <b/>
            <sz val="8"/>
            <color indexed="81"/>
            <rFont val="Tahoma"/>
            <family val="2"/>
          </rPr>
          <t>Peak based on 1"-6 Hour balanced storm using Tc, 
CNm and hydrolgy software.
Check with 1.71 cfs per impervious acre.</t>
        </r>
      </text>
    </comment>
    <comment ref="E25" authorId="0" shapeId="0">
      <text>
        <r>
          <rPr>
            <b/>
            <sz val="8"/>
            <color indexed="81"/>
            <rFont val="Tahoma"/>
          </rPr>
          <t>Mecklenburg County: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Requires sheet inflow to be at a depth of 1" and velocity of 1 fps.</t>
        </r>
      </text>
    </comment>
    <comment ref="E42" authorId="0" shapeId="0">
      <text>
        <r>
          <rPr>
            <b/>
            <sz val="8"/>
            <color indexed="81"/>
            <rFont val="Tahoma"/>
            <family val="2"/>
          </rPr>
          <t xml:space="preserve">The value of 1 to 2 Ft/Day is based on the 2007 NCDENR Manual </t>
        </r>
      </text>
    </comment>
    <comment ref="E43" authorId="0" shapeId="0">
      <text>
        <r>
          <rPr>
            <b/>
            <sz val="8"/>
            <color indexed="81"/>
            <rFont val="Tahoma"/>
            <family val="2"/>
          </rPr>
          <t>This may be reduced to 3 feet if no trees are proposed, and 2 feet for grasses.</t>
        </r>
      </text>
    </comment>
    <comment ref="E44" authorId="0" shapeId="0">
      <text>
        <r>
          <rPr>
            <b/>
            <sz val="8"/>
            <color indexed="81"/>
            <rFont val="Tahoma"/>
            <family val="2"/>
          </rPr>
          <t xml:space="preserve">This value is one-half the maximum storage depth.
You can use 12" depth Maximum </t>
        </r>
      </text>
    </comment>
    <comment ref="E45" authorId="0" shapeId="0">
      <text>
        <r>
          <rPr>
            <b/>
            <sz val="8"/>
            <color indexed="81"/>
            <rFont val="Tahoma"/>
            <family val="2"/>
          </rPr>
          <t>Maximum 48 hours for Bioretention to drain 24 inches below surface.</t>
        </r>
      </text>
    </comment>
    <comment ref="E50" authorId="0" shapeId="0">
      <text>
        <r>
          <rPr>
            <b/>
            <sz val="8"/>
            <color indexed="81"/>
            <rFont val="Tahoma"/>
            <family val="2"/>
          </rPr>
          <t>This can be configured in any shape you wish.
This area, times the depth, can be credited towards the volume control requirement.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Assumes infiltration during rainfall event.</t>
        </r>
      </text>
    </comment>
    <comment ref="E51" authorId="0" shapeId="0">
      <text>
        <r>
          <rPr>
            <b/>
            <sz val="8"/>
            <color indexed="81"/>
            <rFont val="Tahoma"/>
          </rPr>
          <t>NCDENR Manual uses total volume of runoff with no infiltration.</t>
        </r>
        <r>
          <rPr>
            <sz val="8"/>
            <color indexed="81"/>
            <rFont val="Tahoma"/>
          </rPr>
          <t xml:space="preserve">
</t>
        </r>
      </text>
    </comment>
    <comment ref="E57" authorId="0" shapeId="0">
      <text>
        <r>
          <rPr>
            <b/>
            <sz val="8"/>
            <color indexed="81"/>
            <rFont val="Tahoma"/>
            <family val="2"/>
          </rPr>
          <t>Check that underdrain can freely discharge into system or daylight.</t>
        </r>
        <r>
          <rPr>
            <sz val="8"/>
            <color indexed="81"/>
            <rFont val="Tahoma"/>
          </rPr>
          <t xml:space="preserve">
</t>
        </r>
      </text>
    </comment>
    <comment ref="G60" authorId="0" shapeId="0">
      <text>
        <r>
          <rPr>
            <b/>
            <sz val="8"/>
            <color indexed="81"/>
            <rFont val="Tahoma"/>
            <family val="2"/>
          </rPr>
          <t>Use this infiltration rate for routing outflow</t>
        </r>
        <r>
          <rPr>
            <sz val="8"/>
            <color indexed="81"/>
            <rFont val="Tahoma"/>
          </rPr>
          <t xml:space="preserve">
</t>
        </r>
      </text>
    </comment>
    <comment ref="B82" authorId="0" shapeId="0">
      <text>
        <r>
          <rPr>
            <b/>
            <sz val="8"/>
            <color indexed="81"/>
            <rFont val="Tahoma"/>
          </rPr>
          <t>Maximum 48 hours</t>
        </r>
        <r>
          <rPr>
            <sz val="8"/>
            <color indexed="81"/>
            <rFont val="Tahoma"/>
          </rPr>
          <t xml:space="preserve">
</t>
        </r>
      </text>
    </comment>
    <comment ref="D89" authorId="0" shapeId="0">
      <text>
        <r>
          <rPr>
            <b/>
            <sz val="8"/>
            <color indexed="81"/>
            <rFont val="Tahoma"/>
            <family val="2"/>
          </rPr>
          <t>Use total length of cell.</t>
        </r>
        <r>
          <rPr>
            <sz val="8"/>
            <color indexed="81"/>
            <rFont val="Tahoma"/>
          </rPr>
          <t xml:space="preserve">
</t>
        </r>
      </text>
    </comment>
    <comment ref="D91" authorId="0" shapeId="0">
      <text>
        <r>
          <rPr>
            <b/>
            <sz val="8"/>
            <color indexed="81"/>
            <rFont val="Tahoma"/>
            <family val="2"/>
          </rPr>
          <t>6 inch diameter minimum</t>
        </r>
        <r>
          <rPr>
            <sz val="8"/>
            <color indexed="81"/>
            <rFont val="Tahoma"/>
          </rPr>
          <t xml:space="preserve">
</t>
        </r>
      </text>
    </comment>
    <comment ref="D94" authorId="0" shapeId="0">
      <text>
        <r>
          <rPr>
            <b/>
            <sz val="8"/>
            <color indexed="81"/>
            <rFont val="Tahoma"/>
            <family val="2"/>
          </rPr>
          <t>Evenly space these across the rain garden.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<sst xmlns="http://schemas.openxmlformats.org/spreadsheetml/2006/main" count="137" uniqueCount="126">
  <si>
    <t>Rv = 0.05 + 0.009( I )</t>
  </si>
  <si>
    <t>Where "I" = % Impervious</t>
  </si>
  <si>
    <t xml:space="preserve"> </t>
  </si>
  <si>
    <t>WQv =</t>
  </si>
  <si>
    <t>Fill in Values:</t>
  </si>
  <si>
    <t>"I"  =</t>
  </si>
  <si>
    <t>"A" =</t>
  </si>
  <si>
    <t>Answer:</t>
  </si>
  <si>
    <t>Ac. Ft.</t>
  </si>
  <si>
    <t>Acres</t>
  </si>
  <si>
    <t>Percent</t>
  </si>
  <si>
    <t>((k) (Hf+Df) (Tf))</t>
  </si>
  <si>
    <t>Where:</t>
  </si>
  <si>
    <t>Tf      =    Design filter bed drain time in days</t>
  </si>
  <si>
    <t xml:space="preserve">  (WQv) (Df)</t>
  </si>
  <si>
    <t>Af =</t>
  </si>
  <si>
    <t>"k"  =</t>
  </si>
  <si>
    <t>Df  =</t>
  </si>
  <si>
    <t>Hf  =</t>
  </si>
  <si>
    <t>Tf  =</t>
  </si>
  <si>
    <t xml:space="preserve">Feet </t>
  </si>
  <si>
    <t>inches</t>
  </si>
  <si>
    <t>Af  =</t>
  </si>
  <si>
    <t>Cubic Feet Required</t>
  </si>
  <si>
    <t>("Simple Method" - Schueler, 1987)</t>
  </si>
  <si>
    <t xml:space="preserve"> NCDENR April 1999</t>
  </si>
  <si>
    <t>Rv = runoff coefficient (Runoff/Rainfall)</t>
  </si>
  <si>
    <t>WQv =     Water Quality Volume to be Captured</t>
  </si>
  <si>
    <t>Af     =     Surface area of Rain Garden (S.F.)</t>
  </si>
  <si>
    <t>From Georgia Design Manual</t>
  </si>
  <si>
    <t xml:space="preserve">           Section 3.2.3.6</t>
  </si>
  <si>
    <t>Formula:</t>
  </si>
  <si>
    <t>1.0"RvA</t>
  </si>
  <si>
    <t>Width</t>
  </si>
  <si>
    <t>Length</t>
  </si>
  <si>
    <t xml:space="preserve">  Approximate Size</t>
  </si>
  <si>
    <t>Impervious of Site</t>
  </si>
  <si>
    <t>A = Surface Area of Bio-Retention Area (SF)</t>
  </si>
  <si>
    <t>H = Height of Water above Drainage Pipe (Underdrain)</t>
  </si>
  <si>
    <t>Water Draw Through Rate:</t>
  </si>
  <si>
    <t>Darcy's Equation:</t>
  </si>
  <si>
    <t xml:space="preserve">Q = </t>
  </si>
  <si>
    <t>cfs</t>
  </si>
  <si>
    <t>Time to Drawdown water from Inundation to Saturation at Surface:</t>
  </si>
  <si>
    <t>Volume/Q:</t>
  </si>
  <si>
    <t>Seconds</t>
  </si>
  <si>
    <t>Hours</t>
  </si>
  <si>
    <t>to Saturation</t>
  </si>
  <si>
    <t>Time to lower Water Table to 2.0 feet below surface:</t>
  </si>
  <si>
    <t>=</t>
  </si>
  <si>
    <t>Cubic Feet</t>
  </si>
  <si>
    <t>to Lower Water 2' below surface</t>
  </si>
  <si>
    <t>Q = (.0000232)*K*A*( H/L )</t>
  </si>
  <si>
    <t>Assume ( H/L ) ~ 1</t>
  </si>
  <si>
    <t xml:space="preserve">      (Based on Darcy's Law)</t>
  </si>
  <si>
    <t>L =</t>
  </si>
  <si>
    <t>Feet in 3' wide stone bed</t>
  </si>
  <si>
    <t>Diameter =</t>
  </si>
  <si>
    <t>Inches</t>
  </si>
  <si>
    <t>Required</t>
  </si>
  <si>
    <t xml:space="preserve">As a rule of thumb, the length of underdrain is based on 10% of Af </t>
  </si>
  <si>
    <t>(NY State Stormwater Manual)</t>
  </si>
  <si>
    <t>Source:</t>
  </si>
  <si>
    <t>Or More Underdrains required</t>
  </si>
  <si>
    <t>10' x 20' Minimum</t>
  </si>
  <si>
    <t>K (in./hr.)</t>
  </si>
  <si>
    <t>Soil Type</t>
  </si>
  <si>
    <t>Sand</t>
  </si>
  <si>
    <t>Loamy Sand</t>
  </si>
  <si>
    <t>Sandy Loam</t>
  </si>
  <si>
    <t>0.5 - 1</t>
  </si>
  <si>
    <t>Silty Loam</t>
  </si>
  <si>
    <t>Page 3.40</t>
  </si>
  <si>
    <t xml:space="preserve">        Maryland Design Manual</t>
  </si>
  <si>
    <t>K = Hydraulic Conductivity of soil (in./hr.) ( Usually 1"/Hour)</t>
  </si>
  <si>
    <t xml:space="preserve">   Hours to Draw Water Through Soil Layer</t>
  </si>
  <si>
    <t>Assume 40% Porosity</t>
  </si>
  <si>
    <t>Volume = Area x 2' x 0.40</t>
  </si>
  <si>
    <t xml:space="preserve">  6 Inches )</t>
  </si>
  <si>
    <t xml:space="preserve">(Minimum </t>
  </si>
  <si>
    <t>K (Ft/Day)</t>
  </si>
  <si>
    <t>1 - 2</t>
  </si>
  <si>
    <r>
      <t xml:space="preserve">Hf      =    </t>
    </r>
    <r>
      <rPr>
        <b/>
        <u/>
        <sz val="10"/>
        <rFont val="Arial"/>
        <family val="2"/>
      </rPr>
      <t>Average</t>
    </r>
    <r>
      <rPr>
        <b/>
        <sz val="10"/>
        <rFont val="Arial"/>
        <family val="2"/>
      </rPr>
      <t xml:space="preserve"> height of water above filter bed</t>
    </r>
  </si>
  <si>
    <t>(NCSU Rain Garden Design Worksheet, Bill Hunt, PHD)</t>
  </si>
  <si>
    <t>* See Maryland Stormwater Design Manual, Page 3.40</t>
  </si>
  <si>
    <t>Days*</t>
  </si>
  <si>
    <t>5 Acre Maximum</t>
  </si>
  <si>
    <t>Depth from top of water surface to invert of underdrain.</t>
  </si>
  <si>
    <t>Excavation</t>
  </si>
  <si>
    <t>Stone Bedding</t>
  </si>
  <si>
    <t>6" HDPE Pipe</t>
  </si>
  <si>
    <t>6" Cleanout</t>
  </si>
  <si>
    <t>Filter Fabric</t>
  </si>
  <si>
    <t>Soil Mix</t>
  </si>
  <si>
    <t>Mulch</t>
  </si>
  <si>
    <t>Plants</t>
  </si>
  <si>
    <t>Cost/SF</t>
  </si>
  <si>
    <t>Cost</t>
  </si>
  <si>
    <t xml:space="preserve">Cost / SF </t>
  </si>
  <si>
    <t>Impervious</t>
  </si>
  <si>
    <t>Length of Level Spreader for 1" @ 1 fps</t>
  </si>
  <si>
    <t>CFS Peak Flow for 1"- 6 Hr. Storm</t>
  </si>
  <si>
    <t>CNm=</t>
  </si>
  <si>
    <t>Rv=</t>
  </si>
  <si>
    <t>WQv=</t>
  </si>
  <si>
    <r>
      <t>Use to compute Q</t>
    </r>
    <r>
      <rPr>
        <b/>
        <vertAlign val="subscript"/>
        <sz val="10"/>
        <rFont val="Arial"/>
        <family val="2"/>
      </rPr>
      <t>1"</t>
    </r>
  </si>
  <si>
    <t>Insert</t>
  </si>
  <si>
    <t>Q = Flow (Rate of Draw) through Bioretention Soil (cfs)</t>
  </si>
  <si>
    <t>L = Thickness of Soil Bed (Usually 4' for Trees, 2' for Shrubs )</t>
  </si>
  <si>
    <t>Ft./Day*</t>
  </si>
  <si>
    <t>NCDENR recommends 1-2 in./Hr.</t>
  </si>
  <si>
    <t>Updated for 2007</t>
  </si>
  <si>
    <t>NCDENR BMP Manual</t>
  </si>
  <si>
    <t>k       =     permeability coefficient of filter media (use 1 Ft./Day for amended soil mix)</t>
  </si>
  <si>
    <r>
      <t xml:space="preserve">               (use 3 to 6 inches, which is </t>
    </r>
    <r>
      <rPr>
        <b/>
        <u/>
        <sz val="10"/>
        <rFont val="Arial"/>
        <family val="2"/>
      </rPr>
      <t>one-half</t>
    </r>
    <r>
      <rPr>
        <b/>
        <sz val="10"/>
        <rFont val="Arial"/>
        <family val="2"/>
      </rPr>
      <t xml:space="preserve"> of 6" to 12" pond depth)</t>
    </r>
  </si>
  <si>
    <t>Df     =     Filter Bed Depth ( 2 feet min. for grasses, 3 to 4 feet for trees)</t>
  </si>
  <si>
    <r>
      <t>Minimum of 2 Underdrains</t>
    </r>
    <r>
      <rPr>
        <b/>
        <sz val="10"/>
        <rFont val="Arial"/>
        <family val="2"/>
      </rPr>
      <t xml:space="preserve"> </t>
    </r>
  </si>
  <si>
    <t>CF</t>
  </si>
  <si>
    <t>SCS</t>
  </si>
  <si>
    <t>Method</t>
  </si>
  <si>
    <t xml:space="preserve">as Amended </t>
  </si>
  <si>
    <t>SF Req. by DENR Manual</t>
  </si>
  <si>
    <r>
      <t xml:space="preserve">                 * </t>
    </r>
    <r>
      <rPr>
        <b/>
        <u/>
        <sz val="10"/>
        <rFont val="Arial"/>
        <family val="2"/>
      </rPr>
      <t>(Use 1 Day )</t>
    </r>
  </si>
  <si>
    <t>SF Required assuming infiltration during rainfall</t>
  </si>
  <si>
    <t>% of impervious site</t>
  </si>
  <si>
    <t>SF Impervious Per SF of Rain Garden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</si>
</sst>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7" formatCode="0.0000"/>
    <numFmt numFmtId="168" formatCode="0.000"/>
    <numFmt numFmtId="169" formatCode="0.0"/>
    <numFmt numFmtId="171" formatCode="&quot;$&quot;#,##0.00"/>
  </numFmts>
  <fonts count="14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169" fontId="1" fillId="0" borderId="0" xfId="0" applyNumberFormat="1" applyFont="1"/>
    <xf numFmtId="0" fontId="1" fillId="0" borderId="0" xfId="0" quotePrefix="1" applyFont="1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3" borderId="1" xfId="0" applyFill="1" applyBorder="1"/>
    <xf numFmtId="0" fontId="5" fillId="3" borderId="2" xfId="0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2" xfId="0" applyFont="1" applyBorder="1"/>
    <xf numFmtId="0" fontId="1" fillId="0" borderId="6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1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10" xfId="0" applyFont="1" applyFill="1" applyBorder="1" applyAlignment="1">
      <alignment horizontal="center"/>
    </xf>
    <xf numFmtId="0" fontId="4" fillId="5" borderId="11" xfId="0" applyFont="1" applyFill="1" applyBorder="1" applyAlignment="1" applyProtection="1">
      <alignment horizontal="center"/>
      <protection locked="0" hidden="1"/>
    </xf>
    <xf numFmtId="0" fontId="4" fillId="5" borderId="12" xfId="0" applyFont="1" applyFill="1" applyBorder="1" applyAlignment="1" applyProtection="1">
      <alignment horizontal="center"/>
      <protection locked="0" hidden="1"/>
    </xf>
    <xf numFmtId="0" fontId="1" fillId="5" borderId="13" xfId="0" applyFont="1" applyFill="1" applyBorder="1" applyProtection="1">
      <protection locked="0" hidden="1"/>
    </xf>
    <xf numFmtId="0" fontId="1" fillId="5" borderId="11" xfId="0" applyFont="1" applyFill="1" applyBorder="1" applyProtection="1">
      <protection locked="0" hidden="1"/>
    </xf>
    <xf numFmtId="0" fontId="1" fillId="5" borderId="12" xfId="0" applyFont="1" applyFill="1" applyBorder="1" applyProtection="1">
      <protection locked="0" hidden="1"/>
    </xf>
    <xf numFmtId="1" fontId="1" fillId="5" borderId="2" xfId="0" applyNumberFormat="1" applyFont="1" applyFill="1" applyBorder="1"/>
    <xf numFmtId="0" fontId="1" fillId="5" borderId="1" xfId="0" applyFont="1" applyFill="1" applyBorder="1" applyAlignment="1">
      <alignment horizontal="center"/>
    </xf>
    <xf numFmtId="1" fontId="1" fillId="5" borderId="9" xfId="0" applyNumberFormat="1" applyFont="1" applyFill="1" applyBorder="1"/>
    <xf numFmtId="0" fontId="1" fillId="5" borderId="10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14" xfId="0" applyFont="1" applyFill="1" applyBorder="1" applyAlignment="1">
      <alignment horizontal="center"/>
    </xf>
    <xf numFmtId="0" fontId="1" fillId="5" borderId="14" xfId="0" applyFont="1" applyFill="1" applyBorder="1"/>
    <xf numFmtId="0" fontId="0" fillId="5" borderId="1" xfId="0" applyFill="1" applyBorder="1"/>
    <xf numFmtId="0" fontId="0" fillId="5" borderId="14" xfId="0" applyFill="1" applyBorder="1"/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14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6" borderId="6" xfId="0" applyFont="1" applyFill="1" applyBorder="1"/>
    <xf numFmtId="1" fontId="0" fillId="0" borderId="0" xfId="0" applyNumberFormat="1"/>
    <xf numFmtId="0" fontId="0" fillId="0" borderId="0" xfId="0" applyProtection="1">
      <protection hidden="1"/>
    </xf>
    <xf numFmtId="171" fontId="0" fillId="0" borderId="0" xfId="0" applyNumberFormat="1" applyProtection="1">
      <protection hidden="1"/>
    </xf>
    <xf numFmtId="171" fontId="0" fillId="0" borderId="15" xfId="0" applyNumberFormat="1" applyBorder="1" applyProtection="1">
      <protection hidden="1"/>
    </xf>
    <xf numFmtId="0" fontId="0" fillId="0" borderId="16" xfId="0" applyBorder="1" applyAlignment="1" applyProtection="1">
      <alignment horizontal="center"/>
      <protection hidden="1"/>
    </xf>
    <xf numFmtId="171" fontId="0" fillId="0" borderId="17" xfId="0" applyNumberFormat="1" applyBorder="1" applyProtection="1">
      <protection hidden="1"/>
    </xf>
    <xf numFmtId="171" fontId="1" fillId="7" borderId="12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" fontId="1" fillId="4" borderId="6" xfId="0" applyNumberFormat="1" applyFont="1" applyFill="1" applyBorder="1" applyAlignment="1" applyProtection="1">
      <alignment horizontal="center"/>
      <protection hidden="1"/>
    </xf>
    <xf numFmtId="2" fontId="1" fillId="0" borderId="0" xfId="0" applyNumberFormat="1" applyFont="1"/>
    <xf numFmtId="171" fontId="5" fillId="8" borderId="11" xfId="0" applyNumberFormat="1" applyFont="1" applyFill="1" applyBorder="1" applyProtection="1">
      <protection hidden="1"/>
    </xf>
    <xf numFmtId="1" fontId="1" fillId="5" borderId="2" xfId="0" quotePrefix="1" applyNumberFormat="1" applyFont="1" applyFill="1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7" fillId="0" borderId="0" xfId="0" applyFont="1" applyFill="1" applyBorder="1"/>
    <xf numFmtId="0" fontId="13" fillId="0" borderId="0" xfId="0" applyFont="1"/>
    <xf numFmtId="14" fontId="11" fillId="5" borderId="11" xfId="0" applyNumberFormat="1" applyFont="1" applyFill="1" applyBorder="1"/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Protection="1">
      <protection hidden="1"/>
    </xf>
    <xf numFmtId="0" fontId="1" fillId="0" borderId="21" xfId="0" applyFont="1" applyBorder="1" applyAlignment="1" applyProtection="1">
      <alignment horizontal="center"/>
      <protection hidden="1"/>
    </xf>
    <xf numFmtId="1" fontId="1" fillId="4" borderId="22" xfId="0" quotePrefix="1" applyNumberFormat="1" applyFont="1" applyFill="1" applyBorder="1" applyAlignment="1" applyProtection="1">
      <alignment horizontal="left"/>
      <protection hidden="1"/>
    </xf>
    <xf numFmtId="0" fontId="1" fillId="0" borderId="9" xfId="0" applyFont="1" applyBorder="1" applyProtection="1">
      <protection hidden="1"/>
    </xf>
    <xf numFmtId="0" fontId="1" fillId="4" borderId="23" xfId="0" applyFont="1" applyFill="1" applyBorder="1" applyProtection="1">
      <protection hidden="1"/>
    </xf>
    <xf numFmtId="1" fontId="1" fillId="5" borderId="6" xfId="0" quotePrefix="1" applyNumberFormat="1" applyFont="1" applyFill="1" applyBorder="1" applyProtection="1">
      <protection hidden="1"/>
    </xf>
    <xf numFmtId="168" fontId="4" fillId="5" borderId="11" xfId="0" applyNumberFormat="1" applyFont="1" applyFill="1" applyBorder="1" applyAlignment="1" applyProtection="1">
      <alignment horizontal="center"/>
      <protection hidden="1"/>
    </xf>
    <xf numFmtId="1" fontId="4" fillId="5" borderId="11" xfId="0" applyNumberFormat="1" applyFont="1" applyFill="1" applyBorder="1" applyAlignment="1" applyProtection="1">
      <alignment horizontal="center"/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1" fontId="1" fillId="9" borderId="6" xfId="0" applyNumberFormat="1" applyFont="1" applyFill="1" applyBorder="1" applyAlignment="1" applyProtection="1">
      <alignment horizontal="center"/>
      <protection hidden="1"/>
    </xf>
    <xf numFmtId="1" fontId="3" fillId="5" borderId="13" xfId="0" applyNumberFormat="1" applyFont="1" applyFill="1" applyBorder="1" applyProtection="1">
      <protection hidden="1"/>
    </xf>
    <xf numFmtId="2" fontId="1" fillId="5" borderId="6" xfId="0" quotePrefix="1" applyNumberFormat="1" applyFont="1" applyFill="1" applyBorder="1" applyProtection="1">
      <protection hidden="1"/>
    </xf>
    <xf numFmtId="167" fontId="1" fillId="5" borderId="14" xfId="0" applyNumberFormat="1" applyFont="1" applyFill="1" applyBorder="1" applyAlignment="1" applyProtection="1">
      <alignment horizontal="center"/>
      <protection hidden="1"/>
    </xf>
    <xf numFmtId="1" fontId="1" fillId="5" borderId="14" xfId="0" applyNumberFormat="1" applyFont="1" applyFill="1" applyBorder="1" applyAlignment="1" applyProtection="1">
      <alignment horizontal="center"/>
      <protection hidden="1"/>
    </xf>
    <xf numFmtId="169" fontId="1" fillId="5" borderId="2" xfId="0" applyNumberFormat="1" applyFont="1" applyFill="1" applyBorder="1" applyProtection="1">
      <protection hidden="1"/>
    </xf>
    <xf numFmtId="169" fontId="1" fillId="5" borderId="6" xfId="0" applyNumberFormat="1" applyFont="1" applyFill="1" applyBorder="1" applyAlignment="1" applyProtection="1">
      <alignment horizontal="right"/>
      <protection hidden="1"/>
    </xf>
    <xf numFmtId="0" fontId="1" fillId="5" borderId="6" xfId="0" applyFont="1" applyFill="1" applyBorder="1" applyProtection="1">
      <protection hidden="1"/>
    </xf>
    <xf numFmtId="2" fontId="1" fillId="5" borderId="6" xfId="0" applyNumberFormat="1" applyFont="1" applyFill="1" applyBorder="1" applyProtection="1">
      <protection hidden="1"/>
    </xf>
    <xf numFmtId="169" fontId="4" fillId="5" borderId="6" xfId="0" applyNumberFormat="1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0</xdr:row>
      <xdr:rowOff>47625</xdr:rowOff>
    </xdr:from>
    <xdr:to>
      <xdr:col>8</xdr:col>
      <xdr:colOff>85725</xdr:colOff>
      <xdr:row>3</xdr:row>
      <xdr:rowOff>123825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1952625" y="47625"/>
          <a:ext cx="3657600" cy="561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 panose="020B0806030902050204" pitchFamily="34" charset="0"/>
            </a:rPr>
            <a:t>Rain Garden Sizing</a:t>
          </a:r>
        </a:p>
      </xdr:txBody>
    </xdr:sp>
    <xdr:clientData/>
  </xdr:twoCellAnchor>
  <xdr:twoCellAnchor>
    <xdr:from>
      <xdr:col>0</xdr:col>
      <xdr:colOff>28575</xdr:colOff>
      <xdr:row>95</xdr:row>
      <xdr:rowOff>0</xdr:rowOff>
    </xdr:from>
    <xdr:to>
      <xdr:col>10</xdr:col>
      <xdr:colOff>28575</xdr:colOff>
      <xdr:row>128</xdr:row>
      <xdr:rowOff>9525</xdr:rowOff>
    </xdr:to>
    <xdr:pic>
      <xdr:nvPicPr>
        <xdr:cNvPr id="1032" name="Picture 8" descr="Raingarden_Curr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116300"/>
          <a:ext cx="7219950" cy="536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47</xdr:row>
      <xdr:rowOff>0</xdr:rowOff>
    </xdr:from>
    <xdr:to>
      <xdr:col>6</xdr:col>
      <xdr:colOff>38100</xdr:colOff>
      <xdr:row>48</xdr:row>
      <xdr:rowOff>114300</xdr:rowOff>
    </xdr:to>
    <xdr:sp macro="" textlink="">
      <xdr:nvSpPr>
        <xdr:cNvPr id="1037" name="WordArt 13"/>
        <xdr:cNvSpPr>
          <a:spLocks noChangeArrowheads="1" noChangeShapeType="1" noTextEdit="1"/>
        </xdr:cNvSpPr>
      </xdr:nvSpPr>
      <xdr:spPr bwMode="auto">
        <a:xfrm>
          <a:off x="2667000" y="8010525"/>
          <a:ext cx="1438275" cy="276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8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 panose="020B0806030902050204" pitchFamily="34" charset="0"/>
            </a:rPr>
            <a:t>Required Size</a:t>
          </a:r>
        </a:p>
      </xdr:txBody>
    </xdr:sp>
    <xdr:clientData/>
  </xdr:twoCellAnchor>
  <xdr:twoCellAnchor>
    <xdr:from>
      <xdr:col>3</xdr:col>
      <xdr:colOff>0</xdr:colOff>
      <xdr:row>25</xdr:row>
      <xdr:rowOff>76200</xdr:rowOff>
    </xdr:from>
    <xdr:to>
      <xdr:col>6</xdr:col>
      <xdr:colOff>276225</xdr:colOff>
      <xdr:row>26</xdr:row>
      <xdr:rowOff>152400</xdr:rowOff>
    </xdr:to>
    <xdr:sp macro="" textlink="">
      <xdr:nvSpPr>
        <xdr:cNvPr id="1038" name="WordArt 14"/>
        <xdr:cNvSpPr>
          <a:spLocks noChangeArrowheads="1" noChangeShapeType="1" noTextEdit="1"/>
        </xdr:cNvSpPr>
      </xdr:nvSpPr>
      <xdr:spPr bwMode="auto">
        <a:xfrm>
          <a:off x="2019300" y="4343400"/>
          <a:ext cx="2324100" cy="371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4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 panose="020B0806030902050204" pitchFamily="34" charset="0"/>
            </a:rPr>
            <a:t>Rain Garden Area</a:t>
          </a:r>
        </a:p>
      </xdr:txBody>
    </xdr:sp>
    <xdr:clientData/>
  </xdr:twoCellAnchor>
  <xdr:twoCellAnchor>
    <xdr:from>
      <xdr:col>3</xdr:col>
      <xdr:colOff>609600</xdr:colOff>
      <xdr:row>4</xdr:row>
      <xdr:rowOff>9525</xdr:rowOff>
    </xdr:from>
    <xdr:to>
      <xdr:col>7</xdr:col>
      <xdr:colOff>400050</xdr:colOff>
      <xdr:row>4</xdr:row>
      <xdr:rowOff>285750</xdr:rowOff>
    </xdr:to>
    <xdr:sp macro="" textlink="">
      <xdr:nvSpPr>
        <xdr:cNvPr id="1039" name="WordArt 15"/>
        <xdr:cNvSpPr>
          <a:spLocks noChangeArrowheads="1" noChangeShapeType="1" noTextEdit="1"/>
        </xdr:cNvSpPr>
      </xdr:nvSpPr>
      <xdr:spPr bwMode="auto">
        <a:xfrm>
          <a:off x="2628900" y="657225"/>
          <a:ext cx="2686050" cy="276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8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 panose="020B0806030902050204" pitchFamily="34" charset="0"/>
            </a:rPr>
            <a:t>Water Quality Volume  WQv</a:t>
          </a:r>
        </a:p>
      </xdr:txBody>
    </xdr:sp>
    <xdr:clientData/>
  </xdr:twoCellAnchor>
  <xdr:twoCellAnchor>
    <xdr:from>
      <xdr:col>2</xdr:col>
      <xdr:colOff>447675</xdr:colOff>
      <xdr:row>84</xdr:row>
      <xdr:rowOff>9525</xdr:rowOff>
    </xdr:from>
    <xdr:to>
      <xdr:col>5</xdr:col>
      <xdr:colOff>152400</xdr:colOff>
      <xdr:row>84</xdr:row>
      <xdr:rowOff>285750</xdr:rowOff>
    </xdr:to>
    <xdr:sp macro="" textlink="">
      <xdr:nvSpPr>
        <xdr:cNvPr id="1040" name="WordArt 16"/>
        <xdr:cNvSpPr>
          <a:spLocks noChangeArrowheads="1" noChangeShapeType="1" noTextEdit="1"/>
        </xdr:cNvSpPr>
      </xdr:nvSpPr>
      <xdr:spPr bwMode="auto">
        <a:xfrm>
          <a:off x="1857375" y="14154150"/>
          <a:ext cx="1752600" cy="276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8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 panose="020B0806030902050204" pitchFamily="34" charset="0"/>
            </a:rPr>
            <a:t>Size Underdrains</a:t>
          </a:r>
        </a:p>
      </xdr:txBody>
    </xdr:sp>
    <xdr:clientData/>
  </xdr:twoCellAnchor>
  <xdr:twoCellAnchor>
    <xdr:from>
      <xdr:col>11</xdr:col>
      <xdr:colOff>428625</xdr:colOff>
      <xdr:row>102</xdr:row>
      <xdr:rowOff>57150</xdr:rowOff>
    </xdr:from>
    <xdr:to>
      <xdr:col>13</xdr:col>
      <xdr:colOff>457200</xdr:colOff>
      <xdr:row>104</xdr:row>
      <xdr:rowOff>9525</xdr:rowOff>
    </xdr:to>
    <xdr:sp macro="" textlink="">
      <xdr:nvSpPr>
        <xdr:cNvPr id="1043" name="WordArt 19"/>
        <xdr:cNvSpPr>
          <a:spLocks noChangeArrowheads="1" noChangeShapeType="1" noTextEdit="1"/>
        </xdr:cNvSpPr>
      </xdr:nvSpPr>
      <xdr:spPr bwMode="auto">
        <a:xfrm>
          <a:off x="8258175" y="17306925"/>
          <a:ext cx="1247775" cy="276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8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 panose="020B0806030902050204" pitchFamily="34" charset="0"/>
            </a:rPr>
            <a:t>Cost Estimate</a:t>
          </a:r>
        </a:p>
      </xdr:txBody>
    </xdr:sp>
    <xdr:clientData/>
  </xdr:twoCellAnchor>
  <xdr:twoCellAnchor>
    <xdr:from>
      <xdr:col>9</xdr:col>
      <xdr:colOff>485775</xdr:colOff>
      <xdr:row>17</xdr:row>
      <xdr:rowOff>47625</xdr:rowOff>
    </xdr:from>
    <xdr:to>
      <xdr:col>11</xdr:col>
      <xdr:colOff>333375</xdr:colOff>
      <xdr:row>19</xdr:row>
      <xdr:rowOff>0</xdr:rowOff>
    </xdr:to>
    <xdr:sp macro="" textlink="">
      <xdr:nvSpPr>
        <xdr:cNvPr id="1047" name="WordArt 23"/>
        <xdr:cNvSpPr>
          <a:spLocks noChangeArrowheads="1" noChangeShapeType="1" noTextEdit="1"/>
        </xdr:cNvSpPr>
      </xdr:nvSpPr>
      <xdr:spPr bwMode="auto">
        <a:xfrm>
          <a:off x="6858000" y="2952750"/>
          <a:ext cx="1304925" cy="276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800" kern="10" spc="0">
              <a:ln w="19050">
                <a:solidFill>
                  <a:srgbClr val="99CCFF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 panose="020B0806030902050204" pitchFamily="34" charset="0"/>
            </a:rPr>
            <a:t>Compute CNm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609600" y="3400425"/>
          <a:ext cx="800100" cy="5238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7"/>
  <sheetViews>
    <sheetView tabSelected="1" topLeftCell="A106" workbookViewId="0">
      <selection activeCell="E16" sqref="E16"/>
    </sheetView>
  </sheetViews>
  <sheetFormatPr defaultRowHeight="12.75" x14ac:dyDescent="0.2"/>
  <cols>
    <col min="2" max="2" width="12" bestFit="1" customWidth="1"/>
    <col min="4" max="4" width="9.5703125" bestFit="1" customWidth="1"/>
    <col min="5" max="5" width="12" bestFit="1" customWidth="1"/>
    <col min="7" max="7" width="12.7109375" customWidth="1"/>
    <col min="9" max="10" width="12.7109375" customWidth="1"/>
    <col min="14" max="14" width="12.7109375" customWidth="1"/>
    <col min="16" max="16" width="11.140625" bestFit="1" customWidth="1"/>
  </cols>
  <sheetData>
    <row r="1" spans="1:13" x14ac:dyDescent="0.2">
      <c r="A1" s="66">
        <v>39356</v>
      </c>
    </row>
    <row r="2" spans="1:13" x14ac:dyDescent="0.2">
      <c r="A2" t="s">
        <v>111</v>
      </c>
    </row>
    <row r="3" spans="1:13" x14ac:dyDescent="0.2">
      <c r="A3" t="s">
        <v>112</v>
      </c>
    </row>
    <row r="4" spans="1:13" s="1" customFormat="1" x14ac:dyDescent="0.2">
      <c r="A4" s="65" t="s">
        <v>120</v>
      </c>
      <c r="L4"/>
      <c r="M4"/>
    </row>
    <row r="5" spans="1:13" ht="23.25" x14ac:dyDescent="0.35">
      <c r="B5" s="44"/>
      <c r="C5" s="45"/>
      <c r="D5" s="45"/>
      <c r="E5" s="45"/>
      <c r="F5" s="45"/>
      <c r="G5" s="45"/>
      <c r="H5" s="45"/>
      <c r="I5" s="46"/>
    </row>
    <row r="7" spans="1:13" x14ac:dyDescent="0.2">
      <c r="A7" s="1" t="s">
        <v>26</v>
      </c>
      <c r="L7" s="1"/>
      <c r="M7" s="1"/>
    </row>
    <row r="8" spans="1:13" x14ac:dyDescent="0.2">
      <c r="A8" s="1" t="s">
        <v>0</v>
      </c>
      <c r="B8" s="1"/>
      <c r="C8" s="1" t="s">
        <v>1</v>
      </c>
      <c r="D8" s="1"/>
      <c r="E8" s="1"/>
      <c r="F8" s="1"/>
      <c r="G8" s="1"/>
      <c r="H8" s="1"/>
      <c r="I8" s="1"/>
      <c r="J8" s="1"/>
      <c r="K8" s="1"/>
    </row>
    <row r="9" spans="1:13" x14ac:dyDescent="0.2">
      <c r="A9" t="s">
        <v>24</v>
      </c>
    </row>
    <row r="10" spans="1:13" ht="13.5" thickBot="1" x14ac:dyDescent="0.25">
      <c r="A10" t="s">
        <v>25</v>
      </c>
    </row>
    <row r="11" spans="1:13" x14ac:dyDescent="0.2">
      <c r="E11" s="21" t="s">
        <v>3</v>
      </c>
      <c r="F11" s="22" t="s">
        <v>32</v>
      </c>
    </row>
    <row r="12" spans="1:13" ht="13.5" thickBot="1" x14ac:dyDescent="0.25">
      <c r="E12" s="23" t="s">
        <v>2</v>
      </c>
      <c r="F12" s="24">
        <v>12</v>
      </c>
    </row>
    <row r="14" spans="1:13" x14ac:dyDescent="0.2">
      <c r="D14" s="2" t="s">
        <v>4</v>
      </c>
    </row>
    <row r="15" spans="1:13" x14ac:dyDescent="0.2">
      <c r="F15" s="3"/>
      <c r="G15" s="1"/>
    </row>
    <row r="16" spans="1:13" x14ac:dyDescent="0.2">
      <c r="D16" s="3" t="s">
        <v>5</v>
      </c>
      <c r="E16" s="25">
        <v>100</v>
      </c>
      <c r="F16" s="3" t="s">
        <v>10</v>
      </c>
      <c r="G16" s="1" t="s">
        <v>36</v>
      </c>
    </row>
    <row r="17" spans="1:15" x14ac:dyDescent="0.2">
      <c r="D17" s="3" t="s">
        <v>6</v>
      </c>
      <c r="E17" s="26">
        <v>1</v>
      </c>
      <c r="F17" s="3" t="s">
        <v>9</v>
      </c>
      <c r="G17" t="s">
        <v>86</v>
      </c>
    </row>
    <row r="19" spans="1:15" x14ac:dyDescent="0.2">
      <c r="D19" s="2" t="s">
        <v>7</v>
      </c>
    </row>
    <row r="20" spans="1:15" ht="13.5" thickBot="1" x14ac:dyDescent="0.25"/>
    <row r="21" spans="1:15" x14ac:dyDescent="0.2">
      <c r="A21" s="67" t="s">
        <v>118</v>
      </c>
      <c r="B21" s="68"/>
      <c r="D21" s="1" t="s">
        <v>3</v>
      </c>
      <c r="E21" s="74">
        <f>((0.05+0.009*(E16))*0.08333)*E17</f>
        <v>7.9163499999999998E-2</v>
      </c>
      <c r="F21" s="1" t="s">
        <v>8</v>
      </c>
      <c r="J21" s="4" t="s">
        <v>103</v>
      </c>
      <c r="K21" s="1">
        <f>0.05+0.009*E16</f>
        <v>0.95</v>
      </c>
      <c r="O21" s="9" t="s">
        <v>2</v>
      </c>
    </row>
    <row r="22" spans="1:15" ht="13.5" thickBot="1" x14ac:dyDescent="0.25">
      <c r="A22" s="69" t="s">
        <v>119</v>
      </c>
      <c r="B22" s="70">
        <f>((1-E16)/100)*0.2+(E16/100)*0.83/12*43560*E17</f>
        <v>3012.7020000000002</v>
      </c>
      <c r="E22" s="75">
        <f>E21*43560</f>
        <v>3448.3620599999999</v>
      </c>
      <c r="F22" s="1" t="s">
        <v>23</v>
      </c>
      <c r="J22" s="4" t="s">
        <v>104</v>
      </c>
      <c r="K22" s="58">
        <f>K21*1</f>
        <v>0.95</v>
      </c>
      <c r="L22" s="1" t="s">
        <v>21</v>
      </c>
    </row>
    <row r="23" spans="1:15" ht="15" thickBot="1" x14ac:dyDescent="0.3">
      <c r="A23" s="71"/>
      <c r="B23" s="72" t="s">
        <v>117</v>
      </c>
      <c r="D23" s="1"/>
      <c r="E23" s="76"/>
      <c r="F23" s="1"/>
      <c r="J23" s="4" t="s">
        <v>102</v>
      </c>
      <c r="K23" s="86">
        <f>1000/(10+5+(10*(K21))-10*((K21)^2+1.25*(K21))^0.5)</f>
        <v>99.570178389267639</v>
      </c>
      <c r="L23" s="1" t="s">
        <v>105</v>
      </c>
    </row>
    <row r="24" spans="1:15" ht="13.5" thickBot="1" x14ac:dyDescent="0.25">
      <c r="D24" s="8" t="s">
        <v>106</v>
      </c>
      <c r="E24" s="57">
        <f>E16/100*E17*1.71</f>
        <v>1.71</v>
      </c>
      <c r="F24" s="47" t="s">
        <v>101</v>
      </c>
      <c r="G24" s="20"/>
    </row>
    <row r="25" spans="1:15" ht="13.5" thickBot="1" x14ac:dyDescent="0.25">
      <c r="A25" s="20"/>
      <c r="E25" s="77">
        <f>E24/(1/12)</f>
        <v>20.52</v>
      </c>
      <c r="F25" s="47" t="s">
        <v>100</v>
      </c>
    </row>
    <row r="26" spans="1:15" ht="23.25" x14ac:dyDescent="0.35">
      <c r="E26" s="45"/>
      <c r="F26" s="45"/>
      <c r="G26" s="44"/>
    </row>
    <row r="28" spans="1:15" x14ac:dyDescent="0.2">
      <c r="A28" s="2" t="s">
        <v>31</v>
      </c>
    </row>
    <row r="29" spans="1:15" x14ac:dyDescent="0.2">
      <c r="A29" s="4" t="s">
        <v>15</v>
      </c>
      <c r="B29" s="2" t="s">
        <v>14</v>
      </c>
      <c r="D29" s="1" t="s">
        <v>12</v>
      </c>
      <c r="E29" s="1"/>
      <c r="F29" s="1"/>
      <c r="G29" s="1"/>
    </row>
    <row r="30" spans="1:15" x14ac:dyDescent="0.2">
      <c r="B30" s="1" t="s">
        <v>11</v>
      </c>
      <c r="D30" s="1" t="s">
        <v>28</v>
      </c>
      <c r="E30" s="1"/>
      <c r="F30" s="1"/>
      <c r="G30" s="1"/>
    </row>
    <row r="31" spans="1:15" x14ac:dyDescent="0.2">
      <c r="A31" t="s">
        <v>29</v>
      </c>
      <c r="D31" s="1" t="s">
        <v>27</v>
      </c>
      <c r="E31" s="1"/>
      <c r="F31" s="1"/>
      <c r="G31" s="1"/>
    </row>
    <row r="32" spans="1:15" x14ac:dyDescent="0.2">
      <c r="A32" t="s">
        <v>30</v>
      </c>
      <c r="D32" s="1" t="s">
        <v>115</v>
      </c>
      <c r="E32" s="1"/>
      <c r="F32" s="1"/>
      <c r="G32" s="1"/>
    </row>
    <row r="33" spans="1:12" x14ac:dyDescent="0.2">
      <c r="A33" t="s">
        <v>54</v>
      </c>
      <c r="D33" s="1" t="s">
        <v>113</v>
      </c>
      <c r="E33" s="1"/>
      <c r="F33" s="1"/>
      <c r="G33" s="1"/>
    </row>
    <row r="34" spans="1:12" x14ac:dyDescent="0.2">
      <c r="A34" t="s">
        <v>73</v>
      </c>
      <c r="D34" s="1"/>
      <c r="E34" s="1" t="s">
        <v>84</v>
      </c>
      <c r="F34" s="1"/>
      <c r="G34" s="1"/>
    </row>
    <row r="35" spans="1:12" x14ac:dyDescent="0.2">
      <c r="B35" t="s">
        <v>72</v>
      </c>
      <c r="D35" s="1" t="s">
        <v>82</v>
      </c>
      <c r="E35" s="1"/>
      <c r="F35" s="1"/>
      <c r="G35" s="1"/>
    </row>
    <row r="36" spans="1:12" x14ac:dyDescent="0.2">
      <c r="D36" s="1" t="s">
        <v>114</v>
      </c>
      <c r="E36" s="1"/>
      <c r="F36" s="1"/>
      <c r="G36" s="1"/>
    </row>
    <row r="37" spans="1:12" x14ac:dyDescent="0.2">
      <c r="D37" s="1" t="s">
        <v>13</v>
      </c>
      <c r="E37" s="1"/>
      <c r="F37" s="1"/>
      <c r="G37" s="1"/>
    </row>
    <row r="38" spans="1:12" x14ac:dyDescent="0.2">
      <c r="D38" s="1" t="s">
        <v>122</v>
      </c>
      <c r="E38" s="1"/>
      <c r="F38" s="1"/>
      <c r="G38" s="1"/>
    </row>
    <row r="40" spans="1:12" ht="13.5" thickBot="1" x14ac:dyDescent="0.25">
      <c r="D40" s="2" t="s">
        <v>4</v>
      </c>
    </row>
    <row r="41" spans="1:12" ht="13.5" thickBot="1" x14ac:dyDescent="0.25">
      <c r="G41" s="15" t="s">
        <v>66</v>
      </c>
      <c r="H41" s="16" t="s">
        <v>65</v>
      </c>
      <c r="I41" s="41" t="s">
        <v>80</v>
      </c>
    </row>
    <row r="42" spans="1:12" x14ac:dyDescent="0.2">
      <c r="D42" s="3" t="s">
        <v>16</v>
      </c>
      <c r="E42" s="27">
        <v>1</v>
      </c>
      <c r="F42" s="1" t="s">
        <v>109</v>
      </c>
      <c r="G42" s="12" t="s">
        <v>67</v>
      </c>
      <c r="H42" s="17">
        <v>6</v>
      </c>
      <c r="I42" s="17">
        <v>12</v>
      </c>
    </row>
    <row r="43" spans="1:12" ht="13.5" thickBot="1" x14ac:dyDescent="0.25">
      <c r="D43" s="3" t="s">
        <v>17</v>
      </c>
      <c r="E43" s="28">
        <v>3</v>
      </c>
      <c r="F43" s="1" t="s">
        <v>20</v>
      </c>
      <c r="G43" s="13" t="s">
        <v>68</v>
      </c>
      <c r="H43" s="18">
        <v>2</v>
      </c>
      <c r="I43" s="18">
        <v>4</v>
      </c>
    </row>
    <row r="44" spans="1:12" ht="13.5" thickBot="1" x14ac:dyDescent="0.25">
      <c r="D44" s="3" t="s">
        <v>18</v>
      </c>
      <c r="E44" s="28">
        <v>6</v>
      </c>
      <c r="F44" s="1" t="s">
        <v>21</v>
      </c>
      <c r="G44" s="42" t="s">
        <v>69</v>
      </c>
      <c r="H44" s="43" t="s">
        <v>70</v>
      </c>
      <c r="I44" s="60" t="s">
        <v>81</v>
      </c>
      <c r="J44" s="61" t="s">
        <v>110</v>
      </c>
      <c r="K44" s="62"/>
      <c r="L44" s="63"/>
    </row>
    <row r="45" spans="1:12" ht="13.5" thickBot="1" x14ac:dyDescent="0.25">
      <c r="D45" s="3" t="s">
        <v>19</v>
      </c>
      <c r="E45" s="29">
        <v>1.5</v>
      </c>
      <c r="F45" s="1" t="s">
        <v>85</v>
      </c>
      <c r="G45" s="14" t="s">
        <v>71</v>
      </c>
      <c r="H45" s="19">
        <v>0.02</v>
      </c>
      <c r="I45" s="19">
        <v>0.05</v>
      </c>
    </row>
    <row r="46" spans="1:12" x14ac:dyDescent="0.2">
      <c r="E46" s="1"/>
    </row>
    <row r="47" spans="1:12" x14ac:dyDescent="0.2">
      <c r="E47" s="1"/>
    </row>
    <row r="50" spans="1:11" ht="13.5" thickBot="1" x14ac:dyDescent="0.25">
      <c r="D50" s="1" t="s">
        <v>22</v>
      </c>
      <c r="E50" s="78">
        <f>(E22*E43)/(E42*((E44/12)+E43)*E45)</f>
        <v>1970.4926057142857</v>
      </c>
      <c r="F50" s="1" t="s">
        <v>123</v>
      </c>
      <c r="H50" s="64"/>
      <c r="I50" s="64"/>
    </row>
    <row r="51" spans="1:11" ht="13.5" thickBot="1" x14ac:dyDescent="0.25">
      <c r="E51" s="73">
        <f>E22/(E44*2/12)</f>
        <v>3448.3620599999999</v>
      </c>
      <c r="F51" s="1" t="s">
        <v>121</v>
      </c>
      <c r="H51" s="64"/>
      <c r="I51" s="64"/>
      <c r="J51" s="64"/>
    </row>
    <row r="52" spans="1:11" ht="13.5" thickBot="1" x14ac:dyDescent="0.25">
      <c r="E52" s="79">
        <f>((E16/100)*(E17*43560))/E50</f>
        <v>22.106147403790889</v>
      </c>
      <c r="F52" s="1" t="s">
        <v>125</v>
      </c>
      <c r="J52" s="85">
        <f>E50/(E16/100*E17*43560)*100</f>
        <v>4.5236285714285716</v>
      </c>
      <c r="K52" s="1" t="s">
        <v>124</v>
      </c>
    </row>
    <row r="53" spans="1:11" ht="13.5" thickBot="1" x14ac:dyDescent="0.25">
      <c r="H53" s="20"/>
      <c r="I53" s="20"/>
      <c r="J53" s="20"/>
    </row>
    <row r="54" spans="1:11" ht="13.5" thickBot="1" x14ac:dyDescent="0.25">
      <c r="E54" s="30">
        <f>(E50/2)^0.5</f>
        <v>31.388633338473703</v>
      </c>
      <c r="F54" s="31" t="s">
        <v>33</v>
      </c>
      <c r="G54" s="2" t="s">
        <v>35</v>
      </c>
    </row>
    <row r="55" spans="1:11" ht="13.5" thickBot="1" x14ac:dyDescent="0.25">
      <c r="E55" s="32">
        <f>E54*2</f>
        <v>62.777266676947406</v>
      </c>
      <c r="F55" s="33" t="s">
        <v>34</v>
      </c>
    </row>
    <row r="56" spans="1:11" ht="13.5" thickBot="1" x14ac:dyDescent="0.25">
      <c r="G56" s="11" t="s">
        <v>64</v>
      </c>
      <c r="H56" s="10"/>
    </row>
    <row r="57" spans="1:11" ht="13.5" thickBot="1" x14ac:dyDescent="0.25">
      <c r="E57" s="48">
        <f>2*E44/12+E43+0.25+1</f>
        <v>5.25</v>
      </c>
      <c r="F57" t="s">
        <v>87</v>
      </c>
    </row>
    <row r="58" spans="1:11" x14ac:dyDescent="0.2">
      <c r="A58" s="1" t="s">
        <v>39</v>
      </c>
      <c r="B58" s="1"/>
      <c r="C58" s="1"/>
      <c r="D58" s="1"/>
      <c r="E58" s="1"/>
    </row>
    <row r="59" spans="1:11" ht="13.5" thickBot="1" x14ac:dyDescent="0.25">
      <c r="A59" s="1" t="s">
        <v>40</v>
      </c>
      <c r="B59" s="1"/>
      <c r="C59" s="1"/>
      <c r="D59" s="1"/>
      <c r="E59" s="1"/>
    </row>
    <row r="60" spans="1:11" ht="13.5" thickBot="1" x14ac:dyDescent="0.25">
      <c r="A60" s="1" t="s">
        <v>52</v>
      </c>
      <c r="B60" s="1"/>
      <c r="C60" s="1"/>
      <c r="D60" s="1"/>
      <c r="E60" s="1"/>
      <c r="F60" s="34" t="s">
        <v>41</v>
      </c>
      <c r="G60" s="80">
        <f>(0.0000232)*(E42*12/24)*(E50)*((E43+(2*E44/12))/E43)</f>
        <v>3.0476952301714284E-2</v>
      </c>
      <c r="H60" s="35" t="s">
        <v>42</v>
      </c>
    </row>
    <row r="61" spans="1:11" x14ac:dyDescent="0.2">
      <c r="A61" s="1" t="s">
        <v>12</v>
      </c>
      <c r="B61" s="1"/>
      <c r="C61" s="1"/>
      <c r="D61" s="1"/>
      <c r="E61" s="1"/>
    </row>
    <row r="62" spans="1:11" x14ac:dyDescent="0.2">
      <c r="A62" s="1" t="s">
        <v>107</v>
      </c>
      <c r="B62" s="1"/>
      <c r="C62" s="1"/>
      <c r="D62" s="1"/>
      <c r="E62" s="1"/>
    </row>
    <row r="63" spans="1:11" x14ac:dyDescent="0.2">
      <c r="A63" s="1" t="s">
        <v>74</v>
      </c>
      <c r="B63" s="1"/>
      <c r="C63" s="1"/>
      <c r="D63" s="1"/>
      <c r="E63" s="1"/>
    </row>
    <row r="64" spans="1:11" x14ac:dyDescent="0.2">
      <c r="A64" s="1" t="s">
        <v>37</v>
      </c>
      <c r="B64" s="1"/>
      <c r="C64" s="1"/>
      <c r="D64" s="1"/>
      <c r="E64" s="1"/>
    </row>
    <row r="65" spans="1:5" x14ac:dyDescent="0.2">
      <c r="A65" s="1" t="s">
        <v>38</v>
      </c>
      <c r="B65" s="1"/>
      <c r="C65" s="1"/>
      <c r="D65" s="1"/>
      <c r="E65" s="1"/>
    </row>
    <row r="66" spans="1:5" x14ac:dyDescent="0.2">
      <c r="A66" s="1" t="s">
        <v>108</v>
      </c>
      <c r="B66" s="1"/>
      <c r="C66" s="1"/>
      <c r="D66" s="1"/>
      <c r="E66" s="1"/>
    </row>
    <row r="67" spans="1:5" x14ac:dyDescent="0.2">
      <c r="A67" s="1" t="s">
        <v>53</v>
      </c>
      <c r="B67" s="1"/>
      <c r="C67" s="1"/>
      <c r="D67" s="1"/>
      <c r="E67" s="1"/>
    </row>
    <row r="71" spans="1:5" x14ac:dyDescent="0.2">
      <c r="A71" s="1" t="s">
        <v>43</v>
      </c>
    </row>
    <row r="73" spans="1:5" ht="13.5" thickBot="1" x14ac:dyDescent="0.25">
      <c r="A73" s="1" t="s">
        <v>44</v>
      </c>
      <c r="B73" s="5">
        <f>E50*0.5/G60</f>
        <v>32327.586206896554</v>
      </c>
      <c r="C73" s="1" t="s">
        <v>45</v>
      </c>
    </row>
    <row r="74" spans="1:5" ht="13.5" thickBot="1" x14ac:dyDescent="0.25">
      <c r="A74" s="1"/>
      <c r="B74" s="82">
        <f>B73/60/60</f>
        <v>8.9798850574712663</v>
      </c>
      <c r="C74" s="36" t="s">
        <v>46</v>
      </c>
      <c r="D74" s="37" t="s">
        <v>47</v>
      </c>
      <c r="E74" s="38"/>
    </row>
    <row r="77" spans="1:5" x14ac:dyDescent="0.2">
      <c r="A77" s="1" t="s">
        <v>48</v>
      </c>
      <c r="B77" s="1"/>
      <c r="C77" s="1"/>
    </row>
    <row r="78" spans="1:5" x14ac:dyDescent="0.2">
      <c r="A78" s="1" t="s">
        <v>76</v>
      </c>
      <c r="B78" s="1"/>
      <c r="C78" s="1"/>
    </row>
    <row r="79" spans="1:5" x14ac:dyDescent="0.2">
      <c r="A79" s="1" t="s">
        <v>77</v>
      </c>
      <c r="B79" s="1"/>
      <c r="C79" s="1"/>
    </row>
    <row r="80" spans="1:5" x14ac:dyDescent="0.2">
      <c r="A80" s="7" t="s">
        <v>49</v>
      </c>
      <c r="B80" s="6">
        <f>E50*2*0.4</f>
        <v>1576.3940845714287</v>
      </c>
      <c r="C80" s="1" t="s">
        <v>50</v>
      </c>
    </row>
    <row r="81" spans="1:9" ht="13.5" thickBot="1" x14ac:dyDescent="0.25">
      <c r="A81" s="7" t="s">
        <v>49</v>
      </c>
      <c r="B81" s="5">
        <f>B80/G60</f>
        <v>51724.137931034493</v>
      </c>
      <c r="C81" s="1" t="s">
        <v>45</v>
      </c>
    </row>
    <row r="82" spans="1:9" ht="13.5" thickBot="1" x14ac:dyDescent="0.25">
      <c r="A82" s="7" t="s">
        <v>49</v>
      </c>
      <c r="B82" s="82">
        <f>B81/3600</f>
        <v>14.367816091954026</v>
      </c>
      <c r="C82" s="36" t="s">
        <v>46</v>
      </c>
      <c r="D82" s="37" t="s">
        <v>51</v>
      </c>
      <c r="E82" s="39"/>
      <c r="F82" s="39"/>
      <c r="G82" s="38"/>
    </row>
    <row r="83" spans="1:9" ht="13.5" thickBot="1" x14ac:dyDescent="0.25">
      <c r="B83" s="82">
        <f>B74+B82</f>
        <v>23.347701149425291</v>
      </c>
      <c r="C83" s="37" t="s">
        <v>75</v>
      </c>
      <c r="D83" s="39"/>
      <c r="E83" s="39"/>
      <c r="F83" s="39"/>
      <c r="G83" s="38"/>
    </row>
    <row r="85" spans="1:9" ht="23.25" x14ac:dyDescent="0.35">
      <c r="C85" s="44"/>
      <c r="D85" s="47"/>
      <c r="E85" s="47"/>
      <c r="F85" s="47"/>
    </row>
    <row r="87" spans="1:9" x14ac:dyDescent="0.2">
      <c r="B87" s="1" t="s">
        <v>60</v>
      </c>
      <c r="C87" s="1"/>
      <c r="D87" s="1"/>
      <c r="E87" s="1"/>
      <c r="F87" s="1"/>
      <c r="G87" s="1"/>
    </row>
    <row r="88" spans="1:9" ht="13.5" thickBot="1" x14ac:dyDescent="0.25">
      <c r="C88" s="8" t="s">
        <v>62</v>
      </c>
      <c r="D88" t="s">
        <v>61</v>
      </c>
      <c r="E88" s="1"/>
      <c r="F88" s="1"/>
      <c r="G88" s="1"/>
    </row>
    <row r="89" spans="1:9" ht="13.5" thickBot="1" x14ac:dyDescent="0.25">
      <c r="C89" s="34" t="s">
        <v>55</v>
      </c>
      <c r="D89" s="81">
        <f>(E50*0.1)/3</f>
        <v>65.683086857142868</v>
      </c>
      <c r="E89" s="37" t="s">
        <v>56</v>
      </c>
      <c r="F89" s="37"/>
      <c r="G89" s="35"/>
    </row>
    <row r="90" spans="1:9" ht="13.5" thickBot="1" x14ac:dyDescent="0.25"/>
    <row r="91" spans="1:9" ht="13.5" thickBot="1" x14ac:dyDescent="0.25">
      <c r="B91" s="4" t="s">
        <v>59</v>
      </c>
      <c r="C91" s="1" t="s">
        <v>57</v>
      </c>
      <c r="D91" s="83">
        <f>16*((G60*10)*0.015/0.005^0.5)^0.375</f>
        <v>5.729103323359575</v>
      </c>
      <c r="E91" s="1" t="s">
        <v>58</v>
      </c>
      <c r="F91" s="1" t="s">
        <v>79</v>
      </c>
      <c r="G91" s="40" t="s">
        <v>78</v>
      </c>
      <c r="H91" s="1"/>
    </row>
    <row r="92" spans="1:9" x14ac:dyDescent="0.2">
      <c r="C92" s="8" t="s">
        <v>62</v>
      </c>
      <c r="D92" t="s">
        <v>83</v>
      </c>
    </row>
    <row r="93" spans="1:9" ht="13.5" thickBot="1" x14ac:dyDescent="0.25"/>
    <row r="94" spans="1:9" ht="13.5" thickBot="1" x14ac:dyDescent="0.25">
      <c r="D94" s="84">
        <f>IF(AND(E54&gt;30,E54&lt;40),2,(IF(E54&gt;40,3,1)))</f>
        <v>2</v>
      </c>
      <c r="E94" s="1" t="s">
        <v>63</v>
      </c>
      <c r="I94" s="6" t="s">
        <v>2</v>
      </c>
    </row>
    <row r="95" spans="1:9" x14ac:dyDescent="0.2">
      <c r="E95" s="2" t="s">
        <v>116</v>
      </c>
      <c r="F95" s="1"/>
      <c r="G95" s="1"/>
    </row>
    <row r="106" spans="12:14" x14ac:dyDescent="0.2">
      <c r="L106" s="50" t="s">
        <v>88</v>
      </c>
      <c r="M106" s="50"/>
      <c r="N106" s="51">
        <f>(E50*(E43+1)/27)*15</f>
        <v>4378.8724571428575</v>
      </c>
    </row>
    <row r="107" spans="12:14" x14ac:dyDescent="0.2">
      <c r="L107" s="50" t="s">
        <v>89</v>
      </c>
      <c r="M107" s="50"/>
      <c r="N107" s="51">
        <f>((D89*4)/27)*1.5*27.5</f>
        <v>401.39664190476202</v>
      </c>
    </row>
    <row r="108" spans="12:14" x14ac:dyDescent="0.2">
      <c r="L108" s="50" t="s">
        <v>90</v>
      </c>
      <c r="M108" s="50"/>
      <c r="N108" s="51">
        <f>D89*7.5</f>
        <v>492.62315142857153</v>
      </c>
    </row>
    <row r="109" spans="12:14" x14ac:dyDescent="0.2">
      <c r="L109" s="50" t="s">
        <v>91</v>
      </c>
      <c r="M109" s="50"/>
      <c r="N109" s="51">
        <f>250</f>
        <v>250</v>
      </c>
    </row>
    <row r="110" spans="12:14" x14ac:dyDescent="0.2">
      <c r="L110" s="50" t="s">
        <v>92</v>
      </c>
      <c r="M110" s="50"/>
      <c r="N110" s="51">
        <f>E50*2/9*2</f>
        <v>875.77449142857142</v>
      </c>
    </row>
    <row r="111" spans="12:14" x14ac:dyDescent="0.2">
      <c r="L111" s="50" t="s">
        <v>93</v>
      </c>
      <c r="M111" s="50"/>
      <c r="N111" s="51">
        <f>E50*E43/27*28</f>
        <v>6130.4214400000001</v>
      </c>
    </row>
    <row r="112" spans="12:14" x14ac:dyDescent="0.2">
      <c r="L112" s="50" t="s">
        <v>94</v>
      </c>
      <c r="M112" s="50"/>
      <c r="N112" s="51">
        <f>E50/9*5.5</f>
        <v>1204.1899257142857</v>
      </c>
    </row>
    <row r="113" spans="12:16" ht="13.5" thickBot="1" x14ac:dyDescent="0.25">
      <c r="L113" s="50" t="s">
        <v>95</v>
      </c>
      <c r="M113" s="50"/>
      <c r="N113" s="52">
        <f>(E50/43560)*2000*35</f>
        <v>3166.54</v>
      </c>
    </row>
    <row r="114" spans="12:16" x14ac:dyDescent="0.2">
      <c r="L114" s="50"/>
      <c r="M114" s="56" t="s">
        <v>97</v>
      </c>
      <c r="N114" s="55">
        <f>+SUM(N106:N113)</f>
        <v>16899.818107619049</v>
      </c>
    </row>
    <row r="115" spans="12:16" x14ac:dyDescent="0.2">
      <c r="L115" s="50"/>
      <c r="M115" s="53" t="s">
        <v>96</v>
      </c>
      <c r="N115" s="54">
        <f>N114/E50</f>
        <v>8.5764433008328993</v>
      </c>
    </row>
    <row r="116" spans="12:16" x14ac:dyDescent="0.2">
      <c r="N116" s="59">
        <f>N114/((E16/100)*E17*43560)</f>
        <v>0.38796643956884869</v>
      </c>
      <c r="O116" s="50" t="s">
        <v>98</v>
      </c>
      <c r="P116" s="50"/>
    </row>
    <row r="117" spans="12:16" x14ac:dyDescent="0.2">
      <c r="O117" t="s">
        <v>99</v>
      </c>
    </row>
  </sheetData>
  <sheetProtection password="DD67" sheet="1" objects="1" scenarios="1"/>
  <phoneticPr fontId="0" type="noConversion"/>
  <conditionalFormatting sqref="E42">
    <cfRule type="cellIs" dxfId="0" priority="1" stopIfTrue="1" operator="greaterThan">
      <formula>2</formula>
    </cfRule>
  </conditionalFormatting>
  <pageMargins left="0.75" right="0.75" top="1" bottom="1" header="0.5" footer="0.5"/>
  <pageSetup scale="7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"/>
  <sheetViews>
    <sheetView workbookViewId="0">
      <selection activeCell="E20" sqref="E20"/>
    </sheetView>
  </sheetViews>
  <sheetFormatPr defaultRowHeight="12.75" x14ac:dyDescent="0.2"/>
  <sheetData>
    <row r="7" spans="6:6" x14ac:dyDescent="0.2">
      <c r="F7" s="49">
        <f>Sheet1!E51*E42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Engineering &amp; Building Standards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HAHNEFW</dc:creator>
  <cp:lastModifiedBy>Strickland, Tanya</cp:lastModifiedBy>
  <cp:lastPrinted>2017-12-04T15:05:44Z</cp:lastPrinted>
  <dcterms:created xsi:type="dcterms:W3CDTF">2002-10-30T12:51:35Z</dcterms:created>
  <dcterms:modified xsi:type="dcterms:W3CDTF">2017-12-04T15:06:31Z</dcterms:modified>
</cp:coreProperties>
</file>